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4"/>
  </bookViews>
  <sheets>
    <sheet name="Inputs" sheetId="1" r:id="rId1"/>
    <sheet name="Calcs" sheetId="2" r:id="rId2"/>
    <sheet name="Теплопотери" sheetId="3" r:id="rId3"/>
    <sheet name="Belarus Input" sheetId="4" r:id="rId4"/>
    <sheet name="Belarus calcs" sheetId="5" r:id="rId5"/>
  </sheets>
  <calcPr calcId="125725" iterateCount="200" iterateDelta="1E-4"/>
</workbook>
</file>

<file path=xl/calcChain.xml><?xml version="1.0" encoding="utf-8"?>
<calcChain xmlns="http://schemas.openxmlformats.org/spreadsheetml/2006/main">
  <c r="C18" i="5"/>
  <c r="C11"/>
  <c r="C13"/>
  <c r="C12"/>
  <c r="B20" i="4"/>
  <c r="C6" i="5"/>
  <c r="C5" s="1"/>
  <c r="C9" s="1"/>
  <c r="C10" s="1"/>
  <c r="C14" s="1"/>
  <c r="C15" s="1"/>
  <c r="C4"/>
  <c r="C3" s="1"/>
  <c r="C2"/>
  <c r="C1"/>
  <c r="B23" i="4"/>
  <c r="B22"/>
  <c r="B19"/>
  <c r="B14"/>
  <c r="B13"/>
  <c r="B18"/>
  <c r="B17"/>
  <c r="B16"/>
  <c r="B15"/>
  <c r="B12"/>
  <c r="B8"/>
  <c r="B7"/>
  <c r="C19" i="5" l="1"/>
  <c r="C16"/>
  <c r="B18" i="2" l="1"/>
  <c r="B14"/>
  <c r="B41" i="3"/>
  <c r="B13" i="2"/>
  <c r="B28" i="3"/>
  <c r="B12" i="2"/>
  <c r="B16" i="3"/>
  <c r="B11" i="2"/>
  <c r="B7" i="3"/>
  <c r="B5"/>
  <c r="B7" i="2"/>
  <c r="B8" s="1"/>
  <c r="B3"/>
  <c r="B2"/>
  <c r="B26" i="1"/>
  <c r="B7"/>
  <c r="B5" i="2"/>
  <c r="B1"/>
  <c r="B25" i="1"/>
  <c r="B6" i="2" l="1"/>
  <c r="B6" i="3" s="1"/>
  <c r="B8" s="1"/>
  <c r="B10" i="1"/>
  <c r="B9" i="2" l="1"/>
  <c r="B17" s="1"/>
</calcChain>
</file>

<file path=xl/sharedStrings.xml><?xml version="1.0" encoding="utf-8"?>
<sst xmlns="http://schemas.openxmlformats.org/spreadsheetml/2006/main" count="158" uniqueCount="138">
  <si>
    <t>Место расположения</t>
  </si>
  <si>
    <t>Киев</t>
  </si>
  <si>
    <t>Средняя температура воздуха за год, С</t>
  </si>
  <si>
    <t>Длительность отопительного периода в год (tв&lt;8C)</t>
  </si>
  <si>
    <t>Средняя температура в отопительный период, С</t>
  </si>
  <si>
    <t>Нормативные максимальные теплопотери Emax, кВт*ч/м2</t>
  </si>
  <si>
    <t>ДСТУ-Н Б В.1.1-27:2010, Таблица 2</t>
  </si>
  <si>
    <t>ДБН В.2.6- 31 : 2006, Таблица 5</t>
  </si>
  <si>
    <t>Кол-во этажей, шт</t>
  </si>
  <si>
    <t>Площадь этажа, м2</t>
  </si>
  <si>
    <t>Общая площадь, м2</t>
  </si>
  <si>
    <t>Высота 1-го этажа, м</t>
  </si>
  <si>
    <t>Высота 2-го этажа, м</t>
  </si>
  <si>
    <t>Общий объем воздуха в доме, м3</t>
  </si>
  <si>
    <t>ДБН В.2.6- 31: 2006, Приложение Г, Таблица Г.2</t>
  </si>
  <si>
    <t>Расчетная температура воздуха в помещении в отопительный период tв, С</t>
  </si>
  <si>
    <t>Расчетное значение относительной влажности в помещении в отопительный период, %</t>
  </si>
  <si>
    <t>Расчетная температура наружного воздуха в отопительный период tн, С</t>
  </si>
  <si>
    <t>ДБН В.2.6- 31: 2006, Приложение Ж</t>
  </si>
  <si>
    <t>Температурная зона</t>
  </si>
  <si>
    <t>ДБН В.2.6- 31: 2006, Приложение Б</t>
  </si>
  <si>
    <t>Взято из головы</t>
  </si>
  <si>
    <t>Расчетная температура грунта под фундаментом в отопительный период, С</t>
  </si>
  <si>
    <t>Количество градусо-суток</t>
  </si>
  <si>
    <t>Обогреваемый объем дома, м3</t>
  </si>
  <si>
    <t>0.3 добавлено, так как между 1м и 2м этажами 0.3м балок в высоту</t>
  </si>
  <si>
    <t>Общая площадь внешних светопрозрачных конструкций (окон и дверей), м2</t>
  </si>
  <si>
    <t>Общая площадь входных дверей</t>
  </si>
  <si>
    <t>Общая площадь входных дверей, м2</t>
  </si>
  <si>
    <t>Общая площадь внешних ограждающих конструкций, м2</t>
  </si>
  <si>
    <t>Длина, м</t>
  </si>
  <si>
    <t>Ширина, м</t>
  </si>
  <si>
    <t>Реальная внутрення площадь без учета площади под внутренними стенками</t>
  </si>
  <si>
    <t>Толщина внешних стен, м</t>
  </si>
  <si>
    <t>Сама СИП-панель без внешнего фасада, так как по проекту размеры стен даны именно без учета фасада и его утепления</t>
  </si>
  <si>
    <t>Периметр внешних стен по внутреннему размеру (без толщины стены) на высоту от пола 1-го этажа до потолка 2-го</t>
  </si>
  <si>
    <t>Обогреваемый объем дома для обогрева, м3</t>
  </si>
  <si>
    <t>Общая площадь внешних стен без учета окон и дверей, м2</t>
  </si>
  <si>
    <t>Общая площадь пола, м2</t>
  </si>
  <si>
    <t>Общая площадь потолка, м2</t>
  </si>
  <si>
    <t>Общая площадь внешних стен с окнами и дверями, м2</t>
  </si>
  <si>
    <t>Теплопотери</t>
  </si>
  <si>
    <t>Теплопроводность гипсокартона</t>
  </si>
  <si>
    <t>Теплопроводность OSB</t>
  </si>
  <si>
    <t>Теплопотери на метро-градус</t>
  </si>
  <si>
    <t>Теплопотери стен</t>
  </si>
  <si>
    <t>Теплопотери стен в день, кВт</t>
  </si>
  <si>
    <t>Теплопотери стен в месяц, кВт</t>
  </si>
  <si>
    <t>Теплопроводность гипсокартона, Вт/(м*К)</t>
  </si>
  <si>
    <t>Теплопроводность OSB, Вт/(м*К)</t>
  </si>
  <si>
    <t>Теплопроводность пенопласта, Вт/(м*К)</t>
  </si>
  <si>
    <t>ДБН В.2.6-31: 2006, Приложение Л</t>
  </si>
  <si>
    <t>7м2 добавил на откосы окон и дверей</t>
  </si>
  <si>
    <t>Общая площадь внешних стен, м2</t>
  </si>
  <si>
    <t>Сопротивление теплопередаче стены, м2*K/Вт</t>
  </si>
  <si>
    <t>Сопротивление теплопередаче стеклопакета</t>
  </si>
  <si>
    <t>Общая площадь окон</t>
  </si>
  <si>
    <t>Теплопотери окон</t>
  </si>
  <si>
    <t>Теплопотери окон в день, кВт</t>
  </si>
  <si>
    <t>Теплопотери окон в месяц, кВт</t>
  </si>
  <si>
    <t>Делим толщину материала в стене на ее теплопроводность</t>
  </si>
  <si>
    <t>Приведенное сопротивление теплопередачи стен Rc, м2*K/Вт</t>
  </si>
  <si>
    <t>Приведенное сопротивление теплопередачи окон Rо, м2*K/Вт</t>
  </si>
  <si>
    <t>Теплопроводность плитки</t>
  </si>
  <si>
    <t>Сопротивление теплопередаче пола</t>
  </si>
  <si>
    <t>Общая площадь пола</t>
  </si>
  <si>
    <t>Теплопотери пола</t>
  </si>
  <si>
    <t>Теплопотери пола в день, кВт</t>
  </si>
  <si>
    <t>Теплопотери пола в месяц, кВт</t>
  </si>
  <si>
    <t>Теплопроводность стяжки с щебнем</t>
  </si>
  <si>
    <t>Теплопроводность ЭППС</t>
  </si>
  <si>
    <t>Приведенное сопротивление теплопередачи пола Rп, м2*K/Вт</t>
  </si>
  <si>
    <t>Теплопроводность минваты</t>
  </si>
  <si>
    <t>Сопротивление теплопередаче крыши</t>
  </si>
  <si>
    <t>Общая площадь крыши</t>
  </si>
  <si>
    <t>Теплопотери крыши</t>
  </si>
  <si>
    <t>Теплопотери крыши в день, кВт</t>
  </si>
  <si>
    <t>Теплопотери крыши в месяц, кВт</t>
  </si>
  <si>
    <t>Приведенное сопротивление теплопередачи крыши Rк, м2*K/Вт</t>
  </si>
  <si>
    <t>Приведенное сопротивление теплопередачи двери Rд, м2*K/Вт</t>
  </si>
  <si>
    <t>Приведенный коеффициент теплопередачи теплоизоляционной оболочки дома, Вт/(м2*К)</t>
  </si>
  <si>
    <t>ДСТУ-Н Б А.2.2-5-2007 пункт Д1.5.2</t>
  </si>
  <si>
    <t>Условный коеффициент теплопередачи дома с учетом вентиляции, Вт/(м2*К)</t>
  </si>
  <si>
    <t>Средняя кратность</t>
  </si>
  <si>
    <t>Город строительства</t>
  </si>
  <si>
    <t>Расчетная температура внутреннего воздуха</t>
  </si>
  <si>
    <t>Температура грунта под фундаментом</t>
  </si>
  <si>
    <t>Рачетная температура наружного воздуха</t>
  </si>
  <si>
    <t>Средняя температура наружного воздуха за отопительный период</t>
  </si>
  <si>
    <t>Продолжительность отопительного периода</t>
  </si>
  <si>
    <t>Площадь наружных стен</t>
  </si>
  <si>
    <t>Площадь окон на запад</t>
  </si>
  <si>
    <t>Площадь окон на восток</t>
  </si>
  <si>
    <t>Приведенное сопротивление теплопередаче окон</t>
  </si>
  <si>
    <t>Приведенное сопротивление теплопередаче наружных стен</t>
  </si>
  <si>
    <t>Площадь пола</t>
  </si>
  <si>
    <t>Приведенное сопротивление теплопередаче пола</t>
  </si>
  <si>
    <t>Площадь дверей</t>
  </si>
  <si>
    <t>Приведенное сопротивление теплопередаче дверей</t>
  </si>
  <si>
    <t>Площадь перекрытия (крыши)</t>
  </si>
  <si>
    <t>Приведенное сопротивление теплопередаче перекрытия (крыши)</t>
  </si>
  <si>
    <t>Общая площадь внутренних поверхностей наружных ограждающих конструкций</t>
  </si>
  <si>
    <t>Площадь жилых помещений</t>
  </si>
  <si>
    <t>Площадь кухни</t>
  </si>
  <si>
    <t>Отапливаемая площадь</t>
  </si>
  <si>
    <t>Отапливаемый объем</t>
  </si>
  <si>
    <t>А.1.2</t>
  </si>
  <si>
    <t>Градусо-сутки</t>
  </si>
  <si>
    <t>А.1.3</t>
  </si>
  <si>
    <t>Расчетный показатель компактности</t>
  </si>
  <si>
    <t>А.1.4</t>
  </si>
  <si>
    <t>Приведенный коэффициент теплопередачи через наружные ограждающие конструкции</t>
  </si>
  <si>
    <t>n</t>
  </si>
  <si>
    <t>Условный коэффициент теплопередачи здания, с учетом потерь на инфильтрацию и вентиляцию</t>
  </si>
  <si>
    <t>A.2.3</t>
  </si>
  <si>
    <t>Эффективная кратность воздухообмена здания за отопительный периож</t>
  </si>
  <si>
    <t>А.2.4</t>
  </si>
  <si>
    <t>А.2.5</t>
  </si>
  <si>
    <t>Нормируемый приток воздуха, поступающего при механической вентиляции в квартиру с эл.плитой</t>
  </si>
  <si>
    <t>Эффективность рекуператора</t>
  </si>
  <si>
    <t>Инфильтрация через лестничные клетки отсутствует, взял 0.95 вместо 0.85, т.к. Реально внутри дома немного перегородок</t>
  </si>
  <si>
    <t>В методике идет грубо 3-х кратная замена воздуха за час. Для моего дома в 120 квадратов, гонять 360 кубов в час - это бред. Для себя я принял 30 кубов на человека в час, т.е. 60</t>
  </si>
  <si>
    <t>А.2.9</t>
  </si>
  <si>
    <t>Общий коэффициент теплопередачи здания</t>
  </si>
  <si>
    <t>А.2.10</t>
  </si>
  <si>
    <t>Общие теплопотери здания за отопительный период, МДж</t>
  </si>
  <si>
    <t>А.2.11</t>
  </si>
  <si>
    <t>Бытовые теплопоступления за отопительный период, МДж</t>
  </si>
  <si>
    <t>Теплопоступления через окна за отопительный период, МДж</t>
  </si>
  <si>
    <t>Теплопоступления через окна за отопительный период, кВт*ч</t>
  </si>
  <si>
    <t>А.2.12</t>
  </si>
  <si>
    <t>Расход тепловой энергии на отопление здания, МДж</t>
  </si>
  <si>
    <t>А.2.13</t>
  </si>
  <si>
    <t>А.2.14</t>
  </si>
  <si>
    <t>Расчетный удельный расход тепловой энергии на отопление здания в отопительный период, МДж/м2</t>
  </si>
  <si>
    <t>Отклонение расчетного значения удельного расхода тепловой энергии на отопление и вентиляцию здания от нормативных значений, %</t>
  </si>
  <si>
    <t>Нормативное у беларусов, МДж/м2</t>
  </si>
  <si>
    <t>Нормативное в Украине, МДж/м2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</si>
</sst>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.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2.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4" fillId="0" borderId="1" xfId="0" applyFont="1" applyBorder="1"/>
    <xf numFmtId="0" fontId="5" fillId="0" borderId="1" xfId="0" applyFont="1" applyBorder="1" applyAlignment="1">
      <alignment horizontal="right" wrapText="1"/>
    </xf>
    <xf numFmtId="0" fontId="6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workbookViewId="0">
      <selection activeCell="A13" sqref="A13"/>
    </sheetView>
  </sheetViews>
  <sheetFormatPr defaultRowHeight="15"/>
  <cols>
    <col min="1" max="1" width="84.42578125" customWidth="1"/>
  </cols>
  <sheetData>
    <row r="1" spans="1:4">
      <c r="A1" t="s">
        <v>0</v>
      </c>
      <c r="B1" t="s">
        <v>1</v>
      </c>
      <c r="D1" s="1"/>
    </row>
    <row r="2" spans="1:4">
      <c r="A2" t="s">
        <v>19</v>
      </c>
      <c r="B2">
        <v>1</v>
      </c>
      <c r="D2" t="s">
        <v>20</v>
      </c>
    </row>
    <row r="3" spans="1:4">
      <c r="A3" t="s">
        <v>30</v>
      </c>
      <c r="B3">
        <v>7.97</v>
      </c>
    </row>
    <row r="4" spans="1:4">
      <c r="A4" t="s">
        <v>31</v>
      </c>
      <c r="B4">
        <v>8.43</v>
      </c>
    </row>
    <row r="5" spans="1:4">
      <c r="A5" t="s">
        <v>8</v>
      </c>
      <c r="B5">
        <v>2</v>
      </c>
      <c r="D5" s="1"/>
    </row>
    <row r="6" spans="1:4">
      <c r="A6" t="s">
        <v>9</v>
      </c>
      <c r="B6">
        <v>60</v>
      </c>
      <c r="D6" s="1" t="s">
        <v>32</v>
      </c>
    </row>
    <row r="7" spans="1:4">
      <c r="A7" t="s">
        <v>10</v>
      </c>
      <c r="B7">
        <f>B6*B5</f>
        <v>120</v>
      </c>
      <c r="D7" s="1"/>
    </row>
    <row r="8" spans="1:4">
      <c r="A8" t="s">
        <v>11</v>
      </c>
      <c r="B8">
        <v>2.7</v>
      </c>
      <c r="D8" s="1"/>
    </row>
    <row r="9" spans="1:4">
      <c r="A9" t="s">
        <v>12</v>
      </c>
      <c r="B9">
        <v>2.5</v>
      </c>
      <c r="D9" s="1"/>
    </row>
    <row r="10" spans="1:4">
      <c r="A10" t="s">
        <v>13</v>
      </c>
      <c r="B10">
        <f>B8*B6+B9*B6</f>
        <v>312</v>
      </c>
      <c r="D10" s="1"/>
    </row>
    <row r="11" spans="1:4">
      <c r="A11" t="s">
        <v>2</v>
      </c>
      <c r="B11">
        <v>8</v>
      </c>
      <c r="D11" s="1" t="s">
        <v>6</v>
      </c>
    </row>
    <row r="12" spans="1:4">
      <c r="A12" t="s">
        <v>3</v>
      </c>
      <c r="B12">
        <v>176</v>
      </c>
      <c r="D12" s="1" t="s">
        <v>6</v>
      </c>
    </row>
    <row r="13" spans="1:4">
      <c r="A13" t="s">
        <v>4</v>
      </c>
      <c r="B13">
        <v>-0.1</v>
      </c>
      <c r="D13" s="1" t="s">
        <v>6</v>
      </c>
    </row>
    <row r="14" spans="1:4">
      <c r="A14" t="s">
        <v>5</v>
      </c>
      <c r="B14">
        <v>141</v>
      </c>
      <c r="D14" t="s">
        <v>7</v>
      </c>
    </row>
    <row r="15" spans="1:4">
      <c r="A15" t="s">
        <v>15</v>
      </c>
      <c r="B15">
        <v>20</v>
      </c>
      <c r="D15" t="s">
        <v>14</v>
      </c>
    </row>
    <row r="16" spans="1:4">
      <c r="A16" t="s">
        <v>16</v>
      </c>
      <c r="B16">
        <v>55</v>
      </c>
      <c r="D16" t="s">
        <v>14</v>
      </c>
    </row>
    <row r="17" spans="1:4">
      <c r="A17" t="s">
        <v>17</v>
      </c>
      <c r="B17">
        <v>-22</v>
      </c>
      <c r="D17" t="s">
        <v>18</v>
      </c>
    </row>
    <row r="18" spans="1:4">
      <c r="A18" t="s">
        <v>22</v>
      </c>
      <c r="B18">
        <v>5</v>
      </c>
      <c r="D18" t="s">
        <v>21</v>
      </c>
    </row>
    <row r="19" spans="1:4">
      <c r="A19" t="s">
        <v>33</v>
      </c>
      <c r="B19">
        <v>0.16</v>
      </c>
      <c r="D19" t="s">
        <v>34</v>
      </c>
    </row>
    <row r="25" spans="1:4">
      <c r="A25" t="s">
        <v>23</v>
      </c>
      <c r="B25">
        <f>(B15-B13)*B12</f>
        <v>3537.6000000000004</v>
      </c>
    </row>
    <row r="26" spans="1:4">
      <c r="A26" t="s">
        <v>24</v>
      </c>
      <c r="B26">
        <f>(B8+B9+0.3)*B6</f>
        <v>330</v>
      </c>
      <c r="D26" t="s">
        <v>25</v>
      </c>
    </row>
    <row r="27" spans="1:4">
      <c r="A27" t="s">
        <v>26</v>
      </c>
      <c r="B27">
        <v>18</v>
      </c>
    </row>
    <row r="28" spans="1:4">
      <c r="A28" t="s">
        <v>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9"/>
  <sheetViews>
    <sheetView workbookViewId="0">
      <selection activeCell="B19" sqref="B19"/>
    </sheetView>
  </sheetViews>
  <sheetFormatPr defaultRowHeight="15"/>
  <cols>
    <col min="1" max="1" width="89.5703125" customWidth="1"/>
  </cols>
  <sheetData>
    <row r="1" spans="1:4">
      <c r="A1" t="s">
        <v>23</v>
      </c>
      <c r="B1">
        <f>(Inputs!B15-Inputs!B13)*Inputs!B12</f>
        <v>3537.6000000000004</v>
      </c>
    </row>
    <row r="2" spans="1:4">
      <c r="A2" t="s">
        <v>40</v>
      </c>
      <c r="B2">
        <f>(Inputs!B3-Inputs!B19+Inputs!B4-Inputs!B19)*2*(Inputs!B8+Inputs!B9+0.3)</f>
        <v>176.88</v>
      </c>
      <c r="D2" t="s">
        <v>35</v>
      </c>
    </row>
    <row r="3" spans="1:4">
      <c r="A3" t="s">
        <v>36</v>
      </c>
      <c r="B3">
        <f>(Inputs!B8+Inputs!B9+0.3)*((Inputs!B3-Inputs!B19*2)*(Inputs!B4-Inputs!B19*2))</f>
        <v>341.22824999999995</v>
      </c>
      <c r="D3" t="s">
        <v>25</v>
      </c>
    </row>
    <row r="4" spans="1:4">
      <c r="A4" t="s">
        <v>26</v>
      </c>
      <c r="B4">
        <v>18.39</v>
      </c>
    </row>
    <row r="5" spans="1:4">
      <c r="A5" t="s">
        <v>28</v>
      </c>
      <c r="B5">
        <f>0.9*2</f>
        <v>1.8</v>
      </c>
    </row>
    <row r="6" spans="1:4">
      <c r="A6" t="s">
        <v>37</v>
      </c>
      <c r="B6">
        <f>B2-B4-B5+7</f>
        <v>163.69</v>
      </c>
      <c r="D6" t="s">
        <v>52</v>
      </c>
    </row>
    <row r="7" spans="1:4">
      <c r="A7" t="s">
        <v>38</v>
      </c>
      <c r="B7">
        <f>(Inputs!B3-Inputs!B19*2)*(Inputs!B4-Inputs!B19*2)</f>
        <v>62.041499999999992</v>
      </c>
    </row>
    <row r="8" spans="1:4">
      <c r="A8" t="s">
        <v>39</v>
      </c>
      <c r="B8">
        <f>B7</f>
        <v>62.041499999999992</v>
      </c>
    </row>
    <row r="9" spans="1:4">
      <c r="A9" t="s">
        <v>29</v>
      </c>
      <c r="B9">
        <f>B4+B5+B6+B7+B8</f>
        <v>307.96299999999997</v>
      </c>
    </row>
    <row r="11" spans="1:4">
      <c r="A11" t="s">
        <v>61</v>
      </c>
      <c r="B11">
        <f>Теплопотери!B5</f>
        <v>4.0324561403508774</v>
      </c>
    </row>
    <row r="12" spans="1:4">
      <c r="A12" t="s">
        <v>62</v>
      </c>
      <c r="B12">
        <f>Теплопотери!B15</f>
        <v>1.43</v>
      </c>
    </row>
    <row r="13" spans="1:4">
      <c r="A13" t="s">
        <v>71</v>
      </c>
      <c r="B13">
        <f>Теплопотери!B28</f>
        <v>2.5104166666666665</v>
      </c>
    </row>
    <row r="14" spans="1:4">
      <c r="A14" t="s">
        <v>78</v>
      </c>
      <c r="B14">
        <f>Теплопотери!B41</f>
        <v>4.1474221267454352</v>
      </c>
    </row>
    <row r="15" spans="1:4">
      <c r="A15" t="s">
        <v>79</v>
      </c>
      <c r="B15">
        <v>1.05</v>
      </c>
    </row>
    <row r="17" spans="1:4">
      <c r="A17" t="s">
        <v>80</v>
      </c>
      <c r="B17">
        <f>1.13*((B6/B11)+(B4/B12)+(B5/B15)+(B7/B13)+(B8/B14))/B9</f>
        <v>0.34799459384611936</v>
      </c>
      <c r="D17" t="s">
        <v>81</v>
      </c>
    </row>
    <row r="18" spans="1:4">
      <c r="A18" t="s">
        <v>82</v>
      </c>
      <c r="B18">
        <f>0.278*1*0.85</f>
        <v>0.23630000000000001</v>
      </c>
    </row>
    <row r="19" spans="1:4">
      <c r="A19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46"/>
  <sheetViews>
    <sheetView topLeftCell="A24" workbookViewId="0">
      <selection activeCell="C41" sqref="C41"/>
    </sheetView>
  </sheetViews>
  <sheetFormatPr defaultRowHeight="15"/>
  <cols>
    <col min="1" max="1" width="50.85546875" customWidth="1"/>
    <col min="2" max="2" width="11.5703125" bestFit="1" customWidth="1"/>
  </cols>
  <sheetData>
    <row r="1" spans="1:4" ht="16.5" thickBot="1">
      <c r="A1" s="2" t="s">
        <v>41</v>
      </c>
      <c r="B1" s="3"/>
    </row>
    <row r="2" spans="1:4" ht="16.5" thickBot="1">
      <c r="A2" s="4" t="s">
        <v>48</v>
      </c>
      <c r="B2" s="5">
        <v>0.19</v>
      </c>
      <c r="D2" t="s">
        <v>51</v>
      </c>
    </row>
    <row r="3" spans="1:4" ht="16.5" thickBot="1">
      <c r="A3" s="4" t="s">
        <v>49</v>
      </c>
      <c r="B3" s="5">
        <v>0.15</v>
      </c>
    </row>
    <row r="4" spans="1:4" ht="16.5" thickBot="1">
      <c r="A4" s="4" t="s">
        <v>50</v>
      </c>
      <c r="B4" s="5">
        <v>0.05</v>
      </c>
      <c r="D4" t="s">
        <v>51</v>
      </c>
    </row>
    <row r="5" spans="1:4" ht="16.5" thickBot="1">
      <c r="A5" s="4" t="s">
        <v>54</v>
      </c>
      <c r="B5" s="5">
        <f>0.0125/B2+0.025/B3+0.19/B4</f>
        <v>4.0324561403508774</v>
      </c>
      <c r="D5" t="s">
        <v>60</v>
      </c>
    </row>
    <row r="6" spans="1:4" ht="16.5" thickBot="1">
      <c r="A6" s="4" t="s">
        <v>53</v>
      </c>
      <c r="B6" s="5">
        <f>Calcs!B6</f>
        <v>163.69</v>
      </c>
    </row>
    <row r="7" spans="1:4" ht="16.5" thickBot="1">
      <c r="A7" s="4" t="s">
        <v>44</v>
      </c>
      <c r="B7" s="5">
        <f>1/B5</f>
        <v>0.24798781814226667</v>
      </c>
    </row>
    <row r="8" spans="1:4" ht="16.5" thickBot="1">
      <c r="A8" s="4" t="s">
        <v>45</v>
      </c>
      <c r="B8" s="5">
        <f>B6*B7</f>
        <v>40.593125951707627</v>
      </c>
    </row>
    <row r="9" spans="1:4" ht="16.5" thickBot="1">
      <c r="A9" s="4" t="s">
        <v>46</v>
      </c>
      <c r="B9" s="5">
        <v>38.503028129999997</v>
      </c>
    </row>
    <row r="10" spans="1:4" ht="16.5" thickBot="1">
      <c r="A10" s="4" t="s">
        <v>47</v>
      </c>
      <c r="B10" s="5">
        <v>1155.0908440000001</v>
      </c>
    </row>
    <row r="14" spans="1:4" ht="15.75" thickBot="1"/>
    <row r="15" spans="1:4" ht="16.5" thickBot="1">
      <c r="A15" s="4" t="s">
        <v>55</v>
      </c>
      <c r="B15" s="5">
        <v>1.43</v>
      </c>
    </row>
    <row r="16" spans="1:4" ht="16.5" thickBot="1">
      <c r="A16" s="4" t="s">
        <v>56</v>
      </c>
      <c r="B16" s="5">
        <f>Calcs!B4</f>
        <v>18.39</v>
      </c>
    </row>
    <row r="17" spans="1:4" ht="16.5" thickBot="1">
      <c r="A17" s="4" t="s">
        <v>44</v>
      </c>
      <c r="B17" s="5">
        <v>0.69930069930000005</v>
      </c>
    </row>
    <row r="18" spans="1:4" ht="16.5" thickBot="1">
      <c r="A18" s="4" t="s">
        <v>57</v>
      </c>
      <c r="B18" s="5">
        <v>553.84615380000002</v>
      </c>
    </row>
    <row r="19" spans="1:4" ht="16.5" thickBot="1">
      <c r="A19" s="4" t="s">
        <v>58</v>
      </c>
      <c r="B19" s="5">
        <v>13.292307689999999</v>
      </c>
    </row>
    <row r="20" spans="1:4" ht="16.5" thickBot="1">
      <c r="A20" s="4" t="s">
        <v>59</v>
      </c>
      <c r="B20" s="5">
        <v>398.7692308</v>
      </c>
    </row>
    <row r="24" spans="1:4" ht="15.75" thickBot="1"/>
    <row r="25" spans="1:4" ht="16.5" thickBot="1">
      <c r="A25" s="4" t="s">
        <v>63</v>
      </c>
      <c r="B25" s="5">
        <v>0.96</v>
      </c>
      <c r="D25" t="s">
        <v>51</v>
      </c>
    </row>
    <row r="26" spans="1:4" ht="16.5" thickBot="1">
      <c r="A26" s="4" t="s">
        <v>69</v>
      </c>
      <c r="B26" s="5">
        <v>1.86</v>
      </c>
      <c r="D26" t="s">
        <v>51</v>
      </c>
    </row>
    <row r="27" spans="1:4" ht="16.5" thickBot="1">
      <c r="A27" s="4" t="s">
        <v>70</v>
      </c>
      <c r="B27" s="5">
        <v>0.04</v>
      </c>
      <c r="D27" t="s">
        <v>51</v>
      </c>
    </row>
    <row r="28" spans="1:4" ht="16.5" thickBot="1">
      <c r="A28" s="4" t="s">
        <v>64</v>
      </c>
      <c r="B28" s="5">
        <f>0.01/B25+0/15/B26+0.1/B27</f>
        <v>2.5104166666666665</v>
      </c>
    </row>
    <row r="29" spans="1:4" ht="16.5" thickBot="1">
      <c r="A29" s="4" t="s">
        <v>65</v>
      </c>
      <c r="B29" s="5">
        <v>60</v>
      </c>
    </row>
    <row r="30" spans="1:4" ht="16.5" thickBot="1">
      <c r="A30" s="4" t="s">
        <v>44</v>
      </c>
      <c r="B30" s="5">
        <v>0.28533734240000003</v>
      </c>
    </row>
    <row r="31" spans="1:4" ht="16.5" thickBot="1">
      <c r="A31" s="4" t="s">
        <v>66</v>
      </c>
      <c r="B31" s="5">
        <v>256.80360810000002</v>
      </c>
    </row>
    <row r="32" spans="1:4" ht="16.5" thickBot="1">
      <c r="A32" s="4" t="s">
        <v>67</v>
      </c>
      <c r="B32" s="5">
        <v>6.1632865949999998</v>
      </c>
    </row>
    <row r="33" spans="1:4" ht="16.5" thickBot="1">
      <c r="A33" s="4" t="s">
        <v>68</v>
      </c>
      <c r="B33" s="5">
        <v>184.8985979</v>
      </c>
    </row>
    <row r="37" spans="1:4" ht="15.75" thickBot="1"/>
    <row r="38" spans="1:4" ht="16.5" thickBot="1">
      <c r="A38" s="4" t="s">
        <v>42</v>
      </c>
      <c r="B38" s="5">
        <v>0.19</v>
      </c>
      <c r="D38" t="s">
        <v>51</v>
      </c>
    </row>
    <row r="39" spans="1:4" ht="16.5" thickBot="1">
      <c r="A39" s="4" t="s">
        <v>43</v>
      </c>
      <c r="B39" s="5">
        <v>0.15</v>
      </c>
      <c r="D39" t="s">
        <v>51</v>
      </c>
    </row>
    <row r="40" spans="1:4" ht="16.5" thickBot="1">
      <c r="A40" s="4" t="s">
        <v>72</v>
      </c>
      <c r="B40" s="5">
        <v>4.9000000000000002E-2</v>
      </c>
      <c r="D40" t="s">
        <v>51</v>
      </c>
    </row>
    <row r="41" spans="1:4" ht="16.5" thickBot="1">
      <c r="A41" s="4" t="s">
        <v>73</v>
      </c>
      <c r="B41" s="5">
        <f>0.0125/B38+0.2/B40</f>
        <v>4.1474221267454352</v>
      </c>
    </row>
    <row r="42" spans="1:4" ht="16.5" thickBot="1">
      <c r="A42" s="4" t="s">
        <v>74</v>
      </c>
      <c r="B42" s="5">
        <v>60</v>
      </c>
    </row>
    <row r="43" spans="1:4" ht="16.5" thickBot="1">
      <c r="A43" s="4" t="s">
        <v>44</v>
      </c>
      <c r="B43" s="5">
        <v>0.20074112059999999</v>
      </c>
    </row>
    <row r="44" spans="1:4" ht="16.5" thickBot="1">
      <c r="A44" s="4" t="s">
        <v>75</v>
      </c>
      <c r="B44" s="5">
        <v>529.95655829999998</v>
      </c>
    </row>
    <row r="45" spans="1:4" ht="16.5" thickBot="1">
      <c r="A45" s="4" t="s">
        <v>76</v>
      </c>
      <c r="B45" s="5">
        <v>12.718957400000001</v>
      </c>
    </row>
    <row r="46" spans="1:4" ht="16.5" thickBot="1">
      <c r="A46" s="4" t="s">
        <v>77</v>
      </c>
      <c r="B46" s="5">
        <v>381.56872199999998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23"/>
  <sheetViews>
    <sheetView workbookViewId="0">
      <selection activeCell="B20" sqref="B20:B21"/>
    </sheetView>
  </sheetViews>
  <sheetFormatPr defaultRowHeight="15"/>
  <cols>
    <col min="1" max="1" width="76.140625" customWidth="1"/>
  </cols>
  <sheetData>
    <row r="1" spans="1:2">
      <c r="A1" t="s">
        <v>84</v>
      </c>
      <c r="B1" t="s">
        <v>1</v>
      </c>
    </row>
    <row r="2" spans="1:2">
      <c r="A2" t="s">
        <v>85</v>
      </c>
      <c r="B2">
        <v>20</v>
      </c>
    </row>
    <row r="3" spans="1:2">
      <c r="A3" t="s">
        <v>86</v>
      </c>
      <c r="B3">
        <v>5</v>
      </c>
    </row>
    <row r="4" spans="1:2">
      <c r="A4" t="s">
        <v>87</v>
      </c>
      <c r="B4">
        <v>-22</v>
      </c>
    </row>
    <row r="5" spans="1:2">
      <c r="A5" t="s">
        <v>88</v>
      </c>
      <c r="B5">
        <v>-0.1</v>
      </c>
    </row>
    <row r="6" spans="1:2">
      <c r="A6" t="s">
        <v>89</v>
      </c>
      <c r="B6">
        <v>176</v>
      </c>
    </row>
    <row r="7" spans="1:2">
      <c r="A7" t="s">
        <v>90</v>
      </c>
      <c r="B7">
        <f>Calcs!B6</f>
        <v>163.69</v>
      </c>
    </row>
    <row r="8" spans="1:2">
      <c r="A8" t="s">
        <v>94</v>
      </c>
      <c r="B8">
        <f>Calcs!B11</f>
        <v>4.0324561403508774</v>
      </c>
    </row>
    <row r="9" spans="1:2">
      <c r="A9" t="s">
        <v>56</v>
      </c>
      <c r="B9">
        <v>18.39</v>
      </c>
    </row>
    <row r="10" spans="1:2">
      <c r="A10" t="s">
        <v>91</v>
      </c>
      <c r="B10">
        <v>1.4</v>
      </c>
    </row>
    <row r="11" spans="1:2">
      <c r="A11" t="s">
        <v>92</v>
      </c>
      <c r="B11">
        <v>4.91</v>
      </c>
    </row>
    <row r="12" spans="1:2">
      <c r="A12" t="s">
        <v>93</v>
      </c>
      <c r="B12">
        <f>Calcs!B12</f>
        <v>1.43</v>
      </c>
    </row>
    <row r="13" spans="1:2">
      <c r="A13" t="s">
        <v>99</v>
      </c>
      <c r="B13">
        <f>Calcs!B8</f>
        <v>62.041499999999992</v>
      </c>
    </row>
    <row r="14" spans="1:2">
      <c r="A14" t="s">
        <v>100</v>
      </c>
      <c r="B14">
        <f>Calcs!B14</f>
        <v>4.1474221267454352</v>
      </c>
    </row>
    <row r="15" spans="1:2">
      <c r="A15" t="s">
        <v>95</v>
      </c>
      <c r="B15">
        <f>Calcs!B7</f>
        <v>62.041499999999992</v>
      </c>
    </row>
    <row r="16" spans="1:2">
      <c r="A16" t="s">
        <v>96</v>
      </c>
      <c r="B16">
        <f>Calcs!B13</f>
        <v>2.5104166666666665</v>
      </c>
    </row>
    <row r="17" spans="1:2">
      <c r="A17" t="s">
        <v>97</v>
      </c>
      <c r="B17">
        <f>Calcs!B5</f>
        <v>1.8</v>
      </c>
    </row>
    <row r="18" spans="1:2">
      <c r="A18" t="s">
        <v>98</v>
      </c>
      <c r="B18">
        <f>Calcs!B15</f>
        <v>1.05</v>
      </c>
    </row>
    <row r="19" spans="1:2">
      <c r="A19" t="s">
        <v>101</v>
      </c>
      <c r="B19">
        <f>Calcs!B9</f>
        <v>307.96299999999997</v>
      </c>
    </row>
    <row r="20" spans="1:2">
      <c r="A20" t="s">
        <v>102</v>
      </c>
      <c r="B20">
        <f>27.92+11.03+14.77+11.97</f>
        <v>65.69</v>
      </c>
    </row>
    <row r="21" spans="1:2">
      <c r="A21" t="s">
        <v>103</v>
      </c>
      <c r="B21">
        <v>11.9</v>
      </c>
    </row>
    <row r="22" spans="1:2">
      <c r="A22" t="s">
        <v>104</v>
      </c>
      <c r="B22">
        <f>Calcs!B7*2</f>
        <v>124.08299999999998</v>
      </c>
    </row>
    <row r="23" spans="1:2">
      <c r="A23" t="s">
        <v>105</v>
      </c>
      <c r="B23">
        <f>Calcs!B3</f>
        <v>341.22824999999995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9"/>
  <sheetViews>
    <sheetView tabSelected="1" workbookViewId="0">
      <selection activeCell="B22" sqref="B22"/>
    </sheetView>
  </sheetViews>
  <sheetFormatPr defaultRowHeight="15"/>
  <cols>
    <col min="1" max="1" width="9" customWidth="1"/>
    <col min="2" max="2" width="96.28515625" customWidth="1"/>
  </cols>
  <sheetData>
    <row r="1" spans="1:5">
      <c r="A1" t="s">
        <v>106</v>
      </c>
      <c r="B1" t="s">
        <v>107</v>
      </c>
      <c r="C1">
        <f>Calcs!B1</f>
        <v>3537.6000000000004</v>
      </c>
    </row>
    <row r="2" spans="1:5">
      <c r="A2" t="s">
        <v>108</v>
      </c>
      <c r="B2" t="s">
        <v>109</v>
      </c>
      <c r="C2">
        <f>'Belarus Input'!B19/'Belarus Input'!B23</f>
        <v>0.90251320047504868</v>
      </c>
    </row>
    <row r="3" spans="1:5">
      <c r="A3" t="s">
        <v>110</v>
      </c>
      <c r="B3" t="s">
        <v>111</v>
      </c>
      <c r="C3">
        <f>(('Belarus Input'!B7/'Belarus Input'!B8)+('Belarus Input'!B9/'Belarus Input'!B12)+('Belarus Input'!B13/'Belarus Input'!B14)+('Belarus Input'!B15*C4/'Belarus Input'!B16)+('Belarus Input'!B17/'Belarus Input'!B18))/'Belarus Input'!B19</f>
        <v>0.25637137558309175</v>
      </c>
    </row>
    <row r="4" spans="1:5">
      <c r="B4" t="s">
        <v>112</v>
      </c>
      <c r="C4">
        <f>('Belarus Input'!B2-'Belarus Input'!B3)/('Belarus Input'!B2-'Belarus Input'!B4)</f>
        <v>0.35714285714285715</v>
      </c>
    </row>
    <row r="5" spans="1:5">
      <c r="A5" t="s">
        <v>114</v>
      </c>
      <c r="B5" t="s">
        <v>113</v>
      </c>
      <c r="C5">
        <f>(0.28*1*C6*0.95*'Belarus Input'!B23*1.245*1)/'Belarus Input'!B19</f>
        <v>5.7069375071843065E-2</v>
      </c>
    </row>
    <row r="6" spans="1:5">
      <c r="A6" t="s">
        <v>116</v>
      </c>
      <c r="B6" t="s">
        <v>115</v>
      </c>
      <c r="C6">
        <f>((C7*(1-C8))/('Belarus Input'!B23*0.95))+0.1</f>
        <v>0.15552696302563648</v>
      </c>
      <c r="E6" t="s">
        <v>120</v>
      </c>
    </row>
    <row r="7" spans="1:5">
      <c r="A7" t="s">
        <v>117</v>
      </c>
      <c r="B7" t="s">
        <v>118</v>
      </c>
      <c r="C7">
        <v>60</v>
      </c>
      <c r="E7" t="s">
        <v>121</v>
      </c>
    </row>
    <row r="8" spans="1:5">
      <c r="B8" t="s">
        <v>119</v>
      </c>
      <c r="C8">
        <v>0.7</v>
      </c>
    </row>
    <row r="9" spans="1:5">
      <c r="A9" t="s">
        <v>122</v>
      </c>
      <c r="B9" t="s">
        <v>123</v>
      </c>
      <c r="C9">
        <f>C3+C5</f>
        <v>0.31344075065493482</v>
      </c>
    </row>
    <row r="10" spans="1:5">
      <c r="A10" t="s">
        <v>124</v>
      </c>
      <c r="B10" t="s">
        <v>125</v>
      </c>
      <c r="C10">
        <f>0.0864*C9*C1*'Belarus Input'!B19</f>
        <v>29503.698959395206</v>
      </c>
    </row>
    <row r="11" spans="1:5">
      <c r="A11" t="s">
        <v>126</v>
      </c>
      <c r="B11" t="s">
        <v>127</v>
      </c>
      <c r="C11">
        <f>0.0864*9*'Belarus Input'!B6*('Belarus Input'!B20+'Belarus Input'!B21)</f>
        <v>10618.781184000001</v>
      </c>
    </row>
    <row r="12" spans="1:5">
      <c r="A12" t="s">
        <v>126</v>
      </c>
      <c r="B12" t="s">
        <v>129</v>
      </c>
      <c r="C12">
        <f>0.8*0.48*(140*5.14+204*4.91+209*1.4+332*6.94)</f>
        <v>1658.0812800000001</v>
      </c>
    </row>
    <row r="13" spans="1:5">
      <c r="B13" t="s">
        <v>128</v>
      </c>
      <c r="C13">
        <f>C12/0.278</f>
        <v>5964.3211510791361</v>
      </c>
    </row>
    <row r="14" spans="1:5">
      <c r="A14" t="s">
        <v>130</v>
      </c>
      <c r="B14" t="s">
        <v>131</v>
      </c>
      <c r="C14">
        <f>(C10-(C11+C13)*0.9*1)*1.05</f>
        <v>15307.852200715182</v>
      </c>
    </row>
    <row r="15" spans="1:5">
      <c r="A15" t="s">
        <v>132</v>
      </c>
      <c r="B15" t="s">
        <v>134</v>
      </c>
      <c r="C15">
        <f>C14/'Belarus Input'!B22</f>
        <v>123.36784411011327</v>
      </c>
    </row>
    <row r="16" spans="1:5">
      <c r="A16" t="s">
        <v>133</v>
      </c>
      <c r="B16" t="s">
        <v>135</v>
      </c>
      <c r="C16" s="6">
        <f>(C17-C15)/C17*100</f>
        <v>62.728748002986933</v>
      </c>
    </row>
    <row r="17" spans="2:3">
      <c r="B17" t="s">
        <v>136</v>
      </c>
      <c r="C17">
        <v>331</v>
      </c>
    </row>
    <row r="18" spans="2:3">
      <c r="B18" t="s">
        <v>137</v>
      </c>
      <c r="C18">
        <f>141/0.278</f>
        <v>507.19424460431651</v>
      </c>
    </row>
    <row r="19" spans="2:3">
      <c r="B19" t="s">
        <v>135</v>
      </c>
      <c r="C19">
        <f>(C18-C15)/C18*100</f>
        <v>75.676410877580508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Inputs</vt:lpstr>
      <vt:lpstr>Calcs</vt:lpstr>
      <vt:lpstr>Теплопотери</vt:lpstr>
      <vt:lpstr>Belarus Input</vt:lpstr>
      <vt:lpstr>Belarus calcs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2015-12-18T13:33:12Z</dcterms:modified>
</cp:coreProperties>
</file>